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6915" windowHeight="5190"/>
  </bookViews>
  <sheets>
    <sheet name="S Intern Potencia" sheetId="1" r:id="rId1"/>
    <sheet name="sist Intern ALTURA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20" i="1" l="1"/>
  <c r="D14" i="3" l="1"/>
  <c r="B11" i="3" l="1"/>
  <c r="A11" i="3"/>
  <c r="A10" i="3"/>
  <c r="A9" i="3"/>
  <c r="A8" i="3"/>
  <c r="A6" i="3"/>
  <c r="D4" i="3"/>
  <c r="E4" i="3" s="1"/>
  <c r="C4" i="3"/>
  <c r="F4" i="3" l="1"/>
  <c r="G4" i="3" s="1"/>
  <c r="H4" i="3" s="1"/>
  <c r="I4" i="3" s="1"/>
  <c r="D5" i="3"/>
  <c r="E5" i="3" s="1"/>
  <c r="C5" i="3"/>
  <c r="F5" i="3" l="1"/>
  <c r="G5" i="3" s="1"/>
  <c r="H5" i="3" s="1"/>
  <c r="I5" i="3" s="1"/>
  <c r="B33" i="2"/>
  <c r="B29" i="2"/>
  <c r="B26" i="2"/>
  <c r="D17" i="2"/>
  <c r="B17" i="2"/>
  <c r="D16" i="2"/>
  <c r="H8" i="2" s="1"/>
  <c r="I8" i="2" s="1"/>
  <c r="B16" i="2"/>
  <c r="D15" i="2"/>
  <c r="D18" i="2" s="1"/>
  <c r="D19" i="2" s="1"/>
  <c r="B15" i="2"/>
  <c r="B18" i="2" s="1"/>
  <c r="D8" i="2"/>
  <c r="H7" i="2"/>
  <c r="I7" i="2" s="1"/>
  <c r="D7" i="2"/>
  <c r="B19" i="2" l="1"/>
  <c r="B20" i="2"/>
  <c r="G7" i="2" s="1"/>
  <c r="J7" i="2" s="1"/>
  <c r="K7" i="2" s="1"/>
  <c r="L7" i="2" s="1"/>
  <c r="M7" i="2" s="1"/>
  <c r="N7" i="2" s="1"/>
  <c r="O7" i="2" s="1"/>
  <c r="B21" i="2" s="1"/>
  <c r="D54" i="2"/>
  <c r="D46" i="2"/>
  <c r="C37" i="2"/>
  <c r="D50" i="2"/>
  <c r="D42" i="2"/>
  <c r="D20" i="2"/>
  <c r="G8" i="2" s="1"/>
  <c r="J8" i="2" s="1"/>
  <c r="K8" i="2" s="1"/>
  <c r="L8" i="2" s="1"/>
  <c r="M8" i="2" s="1"/>
  <c r="N8" i="2" s="1"/>
  <c r="O8" i="2" s="1"/>
  <c r="D21" i="2" s="1"/>
  <c r="D23" i="2" s="1"/>
  <c r="D16" i="1"/>
  <c r="G8" i="1" s="1"/>
  <c r="H8" i="1" s="1"/>
  <c r="B33" i="1"/>
  <c r="B29" i="1"/>
  <c r="B26" i="1"/>
  <c r="B16" i="1"/>
  <c r="D17" i="1"/>
  <c r="D15" i="1"/>
  <c r="D18" i="1" s="1"/>
  <c r="D20" i="1" s="1"/>
  <c r="F8" i="1" s="1"/>
  <c r="B15" i="1"/>
  <c r="B18" i="1" s="1"/>
  <c r="D8" i="1"/>
  <c r="D7" i="1"/>
  <c r="B17" i="1"/>
  <c r="G7" i="1" l="1"/>
  <c r="H7" i="1" s="1"/>
  <c r="B27" i="2"/>
  <c r="B54" i="2"/>
  <c r="B32" i="2"/>
  <c r="B30" i="2"/>
  <c r="B50" i="2"/>
  <c r="B42" i="2"/>
  <c r="B46" i="2"/>
  <c r="B36" i="2"/>
  <c r="B35" i="2" s="1"/>
  <c r="B23" i="2"/>
  <c r="F7" i="1"/>
  <c r="I7" i="1" s="1"/>
  <c r="J7" i="1" s="1"/>
  <c r="I8" i="1"/>
  <c r="J8" i="1" s="1"/>
  <c r="K8" i="1" s="1"/>
  <c r="L8" i="1" s="1"/>
  <c r="M8" i="1" s="1"/>
  <c r="N8" i="1" s="1"/>
  <c r="D21" i="1" s="1"/>
  <c r="D19" i="1"/>
  <c r="B19" i="1"/>
  <c r="K7" i="1" l="1"/>
  <c r="L7" i="1" s="1"/>
  <c r="M7" i="1" s="1"/>
  <c r="N7" i="1" s="1"/>
  <c r="B21" i="1" s="1"/>
  <c r="B37" i="2"/>
  <c r="B50" i="1"/>
  <c r="B23" i="1"/>
  <c r="B36" i="1"/>
  <c r="B35" i="1" s="1"/>
  <c r="B32" i="1"/>
  <c r="B37" i="1" s="1"/>
  <c r="B27" i="1"/>
  <c r="B30" i="1"/>
  <c r="A56" i="1" l="1"/>
  <c r="A58" i="1" s="1"/>
  <c r="A60" i="1" s="1"/>
  <c r="A62" i="1" s="1"/>
  <c r="A56" i="2"/>
  <c r="D4" i="2" s="1"/>
  <c r="L18" i="2" s="1"/>
</calcChain>
</file>

<file path=xl/comments1.xml><?xml version="1.0" encoding="utf-8"?>
<comments xmlns="http://schemas.openxmlformats.org/spreadsheetml/2006/main">
  <authors>
    <author>Juan</author>
  </authors>
  <commentList>
    <comment ref="B25" authorId="0">
      <text>
        <r>
          <rPr>
            <b/>
            <sz val="9"/>
            <color indexed="81"/>
            <rFont val="Tahoma"/>
            <family val="2"/>
          </rPr>
          <t>Escriba SI o NO, según el caso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8" authorId="0">
      <text>
        <r>
          <rPr>
            <b/>
            <sz val="9"/>
            <color indexed="81"/>
            <rFont val="Tahoma"/>
            <family val="2"/>
          </rPr>
          <t>Escriba SI o NO, según el caso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1" authorId="0">
      <text>
        <r>
          <rPr>
            <b/>
            <sz val="9"/>
            <color indexed="81"/>
            <rFont val="Tahoma"/>
            <family val="2"/>
          </rPr>
          <t>Escriba SI o NO, según el caso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4" authorId="0">
      <text>
        <r>
          <rPr>
            <b/>
            <sz val="9"/>
            <color indexed="81"/>
            <rFont val="Tahoma"/>
            <family val="2"/>
          </rPr>
          <t>Escriba SI o NO, según el caso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7" authorId="0">
      <text>
        <r>
          <rPr>
            <sz val="9"/>
            <color indexed="81"/>
            <rFont val="Tahoma"/>
            <family val="2"/>
          </rPr>
          <t>Repita el valor de la entrada respectiva</t>
        </r>
      </text>
    </comment>
    <comment ref="B40" authorId="0">
      <text>
        <r>
          <rPr>
            <b/>
            <sz val="9"/>
            <color indexed="81"/>
            <rFont val="Tahoma"/>
            <family val="2"/>
          </rPr>
          <t>Cuántos codos hay?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40" authorId="0">
      <text>
        <r>
          <rPr>
            <b/>
            <sz val="9"/>
            <color indexed="81"/>
            <rFont val="Tahoma"/>
            <family val="2"/>
          </rPr>
          <t>Cuántos codos hay?</t>
        </r>
      </text>
    </comment>
    <comment ref="B44" authorId="0">
      <text>
        <r>
          <rPr>
            <b/>
            <sz val="9"/>
            <color indexed="81"/>
            <rFont val="Tahoma"/>
            <family val="2"/>
          </rPr>
          <t>Diga tipo de válvula 1</t>
        </r>
      </text>
    </comment>
    <comment ref="D44" authorId="0">
      <text>
        <r>
          <rPr>
            <b/>
            <sz val="9"/>
            <color indexed="81"/>
            <rFont val="Tahoma"/>
            <family val="2"/>
          </rPr>
          <t>Diga tipo de válvula 2</t>
        </r>
      </text>
    </comment>
    <comment ref="B48" authorId="0">
      <text>
        <r>
          <rPr>
            <b/>
            <sz val="9"/>
            <color indexed="81"/>
            <rFont val="Tahoma"/>
            <family val="2"/>
          </rPr>
          <t>Diga tipo de válvula 1</t>
        </r>
      </text>
    </comment>
    <comment ref="B52" authorId="0">
      <text>
        <r>
          <rPr>
            <b/>
            <sz val="9"/>
            <color indexed="81"/>
            <rFont val="Tahoma"/>
            <family val="2"/>
          </rPr>
          <t>Diga tipo de accesorio</t>
        </r>
      </text>
    </comment>
  </commentList>
</comments>
</file>

<file path=xl/comments2.xml><?xml version="1.0" encoding="utf-8"?>
<comments xmlns="http://schemas.openxmlformats.org/spreadsheetml/2006/main">
  <authors>
    <author>Juan</author>
  </authors>
  <commentList>
    <comment ref="B25" authorId="0">
      <text>
        <r>
          <rPr>
            <b/>
            <sz val="9"/>
            <color indexed="81"/>
            <rFont val="Tahoma"/>
            <family val="2"/>
          </rPr>
          <t>Escriba SI o NO, según el caso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8" authorId="0">
      <text>
        <r>
          <rPr>
            <b/>
            <sz val="9"/>
            <color indexed="81"/>
            <rFont val="Tahoma"/>
            <family val="2"/>
          </rPr>
          <t>Escriba SI o NO, según el caso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1" authorId="0">
      <text>
        <r>
          <rPr>
            <b/>
            <sz val="9"/>
            <color indexed="81"/>
            <rFont val="Tahoma"/>
            <family val="2"/>
          </rPr>
          <t>Escriba SI o NO, según el caso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4" authorId="0">
      <text>
        <r>
          <rPr>
            <b/>
            <sz val="9"/>
            <color indexed="81"/>
            <rFont val="Tahoma"/>
            <family val="2"/>
          </rPr>
          <t>Escriba SI o NO, según el caso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7" authorId="0">
      <text>
        <r>
          <rPr>
            <sz val="9"/>
            <color indexed="81"/>
            <rFont val="Tahoma"/>
            <family val="2"/>
          </rPr>
          <t>Repita el valor de la entrada respectiva</t>
        </r>
      </text>
    </comment>
    <comment ref="B40" authorId="0">
      <text>
        <r>
          <rPr>
            <b/>
            <sz val="9"/>
            <color indexed="81"/>
            <rFont val="Tahoma"/>
            <family val="2"/>
          </rPr>
          <t>Cuántos codos hay?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40" authorId="0">
      <text>
        <r>
          <rPr>
            <b/>
            <sz val="9"/>
            <color indexed="81"/>
            <rFont val="Tahoma"/>
            <family val="2"/>
          </rPr>
          <t>Cuántos codos hay?</t>
        </r>
      </text>
    </comment>
    <comment ref="B44" authorId="0">
      <text>
        <r>
          <rPr>
            <b/>
            <sz val="9"/>
            <color indexed="81"/>
            <rFont val="Tahoma"/>
            <family val="2"/>
          </rPr>
          <t>Diga tipo de válvula 1</t>
        </r>
      </text>
    </comment>
    <comment ref="D44" authorId="0">
      <text>
        <r>
          <rPr>
            <b/>
            <sz val="9"/>
            <color indexed="81"/>
            <rFont val="Tahoma"/>
            <family val="2"/>
          </rPr>
          <t>Diga tipo de válvula 2</t>
        </r>
      </text>
    </comment>
    <comment ref="B48" authorId="0">
      <text>
        <r>
          <rPr>
            <b/>
            <sz val="9"/>
            <color indexed="81"/>
            <rFont val="Tahoma"/>
            <family val="2"/>
          </rPr>
          <t>Diga tipo de válvula 1</t>
        </r>
      </text>
    </comment>
    <comment ref="B52" authorId="0">
      <text>
        <r>
          <rPr>
            <b/>
            <sz val="9"/>
            <color indexed="81"/>
            <rFont val="Tahoma"/>
            <family val="2"/>
          </rPr>
          <t>Diga tipo de accesorio</t>
        </r>
      </text>
    </comment>
  </commentList>
</comments>
</file>

<file path=xl/sharedStrings.xml><?xml version="1.0" encoding="utf-8"?>
<sst xmlns="http://schemas.openxmlformats.org/spreadsheetml/2006/main" count="211" uniqueCount="82">
  <si>
    <t>SISTEMAS EN SERIE</t>
  </si>
  <si>
    <t>Objetivo:</t>
  </si>
  <si>
    <t>Potencia de bomba</t>
  </si>
  <si>
    <t>Datos del sistema</t>
  </si>
  <si>
    <t>Q</t>
  </si>
  <si>
    <t>P1</t>
  </si>
  <si>
    <t>P2</t>
  </si>
  <si>
    <t>V1</t>
  </si>
  <si>
    <t>V2</t>
  </si>
  <si>
    <t>Z1</t>
  </si>
  <si>
    <t>Z2</t>
  </si>
  <si>
    <t>Carga de velocidad</t>
  </si>
  <si>
    <t>v1^2/2g</t>
  </si>
  <si>
    <t>v2^2/2g</t>
  </si>
  <si>
    <t>Propiedades del fluido</t>
  </si>
  <si>
    <t>g</t>
  </si>
  <si>
    <t>u</t>
  </si>
  <si>
    <t>Tubería 1</t>
  </si>
  <si>
    <t>Tubería 2</t>
  </si>
  <si>
    <t>D</t>
  </si>
  <si>
    <t>e</t>
  </si>
  <si>
    <t>L</t>
  </si>
  <si>
    <t>A</t>
  </si>
  <si>
    <t>L/D</t>
  </si>
  <si>
    <t>V</t>
  </si>
  <si>
    <t>V^2/2g</t>
  </si>
  <si>
    <r>
      <t>D/</t>
    </r>
    <r>
      <rPr>
        <b/>
        <sz val="11"/>
        <color theme="1"/>
        <rFont val="Symbol"/>
        <family val="1"/>
        <charset val="2"/>
      </rPr>
      <t>e</t>
    </r>
  </si>
  <si>
    <t>Re</t>
  </si>
  <si>
    <t>f</t>
  </si>
  <si>
    <t>k</t>
  </si>
  <si>
    <t>K/3,7</t>
  </si>
  <si>
    <t>Re^0,9</t>
  </si>
  <si>
    <t>5,74/Re^0,9</t>
  </si>
  <si>
    <t>Suma  I+K</t>
  </si>
  <si>
    <t>Log suma</t>
  </si>
  <si>
    <t>Log ^2</t>
  </si>
  <si>
    <r>
      <rPr>
        <b/>
        <sz val="11"/>
        <color theme="1"/>
        <rFont val="Symbol"/>
        <family val="1"/>
        <charset val="2"/>
      </rPr>
      <t>e</t>
    </r>
    <r>
      <rPr>
        <b/>
        <sz val="11"/>
        <color theme="1"/>
        <rFont val="Calibri"/>
        <family val="2"/>
        <scheme val="minor"/>
      </rPr>
      <t xml:space="preserve"> / D</t>
    </r>
  </si>
  <si>
    <t>Pérdidas en Tubería 1</t>
  </si>
  <si>
    <t>Pérdidas en Tubería 2</t>
  </si>
  <si>
    <t>Fricción</t>
  </si>
  <si>
    <t>Proyectada</t>
  </si>
  <si>
    <t>Bordes rectos</t>
  </si>
  <si>
    <t>Bien redondeada</t>
  </si>
  <si>
    <t>1. Entrada</t>
  </si>
  <si>
    <t>Achaflanada</t>
  </si>
  <si>
    <t>K</t>
  </si>
  <si>
    <t>SI</t>
  </si>
  <si>
    <t>NO</t>
  </si>
  <si>
    <t>2. Codos</t>
  </si>
  <si>
    <t>Nº de codos</t>
  </si>
  <si>
    <t xml:space="preserve">Pérdida </t>
  </si>
  <si>
    <t>Pérdida Entrada</t>
  </si>
  <si>
    <t>1. Salida</t>
  </si>
  <si>
    <t>PÉRDIDA EN LA SALIDA   (K = 1)</t>
  </si>
  <si>
    <t>Ft</t>
  </si>
  <si>
    <t>Le/D</t>
  </si>
  <si>
    <t>Tipo Válvula</t>
  </si>
  <si>
    <t>3. Válvula 1</t>
  </si>
  <si>
    <t>3. Válvula 2</t>
  </si>
  <si>
    <t>Compuerta</t>
  </si>
  <si>
    <t>Globo</t>
  </si>
  <si>
    <t>4. Otras pérdidas</t>
  </si>
  <si>
    <t>Tipo Pérdida</t>
  </si>
  <si>
    <t>reducción</t>
  </si>
  <si>
    <t>Pérdidas totales:</t>
  </si>
  <si>
    <t>Carga total, ha:</t>
  </si>
  <si>
    <t>Potencia entregada al fluido Pa (kW):</t>
  </si>
  <si>
    <t>Eficiencia de la bomba:</t>
  </si>
  <si>
    <t>Potencia consumida por la Bomba  (kW):</t>
  </si>
  <si>
    <t>cálculo del factor de fricción</t>
  </si>
  <si>
    <t>OBJETIVO</t>
  </si>
  <si>
    <t>Calcular  la potencia consumida por la bomba</t>
  </si>
  <si>
    <t>Calcular  la altura necesaria del tanque para unas pérdidas conocidas</t>
  </si>
  <si>
    <r>
      <t>z</t>
    </r>
    <r>
      <rPr>
        <b/>
        <i/>
        <vertAlign val="subscript"/>
        <sz val="11"/>
        <color theme="1"/>
        <rFont val="Calibri"/>
        <family val="2"/>
        <scheme val="minor"/>
      </rPr>
      <t>1</t>
    </r>
    <r>
      <rPr>
        <b/>
        <i/>
        <sz val="11"/>
        <color theme="1"/>
        <rFont val="Calibri"/>
        <family val="2"/>
        <scheme val="minor"/>
      </rPr>
      <t>-z</t>
    </r>
    <r>
      <rPr>
        <b/>
        <i/>
        <vertAlign val="subscript"/>
        <sz val="11"/>
        <color theme="1"/>
        <rFont val="Calibri"/>
        <family val="2"/>
        <scheme val="minor"/>
      </rPr>
      <t>2</t>
    </r>
  </si>
  <si>
    <r>
      <t xml:space="preserve">hl - ha + </t>
    </r>
    <r>
      <rPr>
        <b/>
        <i/>
        <sz val="11"/>
        <color theme="1"/>
        <rFont val="Symbol"/>
        <family val="1"/>
        <charset val="2"/>
      </rPr>
      <t>D</t>
    </r>
    <r>
      <rPr>
        <b/>
        <i/>
        <sz val="11"/>
        <color theme="1"/>
        <rFont val="Calibri"/>
        <family val="2"/>
        <scheme val="minor"/>
      </rPr>
      <t>v</t>
    </r>
    <r>
      <rPr>
        <b/>
        <i/>
        <vertAlign val="superscript"/>
        <sz val="11"/>
        <color theme="1"/>
        <rFont val="Calibri"/>
        <family val="2"/>
        <scheme val="minor"/>
      </rPr>
      <t>2</t>
    </r>
    <r>
      <rPr>
        <b/>
        <i/>
        <sz val="11"/>
        <color theme="1"/>
        <rFont val="Calibri"/>
        <family val="2"/>
        <scheme val="minor"/>
      </rPr>
      <t xml:space="preserve">/2g + </t>
    </r>
    <r>
      <rPr>
        <b/>
        <i/>
        <sz val="11"/>
        <color theme="1"/>
        <rFont val="Symbol"/>
        <family val="1"/>
        <charset val="2"/>
      </rPr>
      <t>D</t>
    </r>
    <r>
      <rPr>
        <b/>
        <i/>
        <sz val="11"/>
        <color theme="1"/>
        <rFont val="Calibri"/>
        <family val="2"/>
        <scheme val="minor"/>
      </rPr>
      <t>p/g</t>
    </r>
  </si>
  <si>
    <r>
      <t>z</t>
    </r>
    <r>
      <rPr>
        <b/>
        <i/>
        <vertAlign val="subscript"/>
        <sz val="11"/>
        <color theme="1"/>
        <rFont val="Calibri"/>
        <family val="2"/>
        <scheme val="minor"/>
      </rPr>
      <t>2</t>
    </r>
  </si>
  <si>
    <t>si</t>
  </si>
  <si>
    <t>RTA:</t>
  </si>
  <si>
    <t>Altura del tq A</t>
  </si>
  <si>
    <t>metros</t>
  </si>
  <si>
    <t>ft</t>
  </si>
  <si>
    <t>Le/d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</si>
</sst>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00"/>
    <numFmt numFmtId="166" formatCode="0.0000E+00"/>
    <numFmt numFmtId="167" formatCode="0.00000000E+00"/>
    <numFmt numFmtId="170" formatCode="0.000000E+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vertAlign val="subscript"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b/>
      <i/>
      <sz val="11"/>
      <color theme="1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Fill="1" applyBorder="1"/>
    <xf numFmtId="0" fontId="1" fillId="3" borderId="1" xfId="0" applyFont="1" applyFill="1" applyBorder="1"/>
    <xf numFmtId="0" fontId="0" fillId="2" borderId="1" xfId="0" applyFill="1" applyBorder="1"/>
    <xf numFmtId="0" fontId="1" fillId="0" borderId="1" xfId="0" applyFont="1" applyBorder="1"/>
    <xf numFmtId="0" fontId="0" fillId="0" borderId="1" xfId="0" applyBorder="1"/>
    <xf numFmtId="0" fontId="2" fillId="0" borderId="1" xfId="0" applyFont="1" applyFill="1" applyBorder="1"/>
    <xf numFmtId="0" fontId="2" fillId="3" borderId="1" xfId="0" applyFont="1" applyFill="1" applyBorder="1"/>
    <xf numFmtId="0" fontId="0" fillId="0" borderId="0" xfId="0"/>
    <xf numFmtId="0" fontId="0" fillId="0" borderId="1" xfId="0" applyBorder="1"/>
    <xf numFmtId="0" fontId="0" fillId="0" borderId="2" xfId="0" applyBorder="1"/>
    <xf numFmtId="11" fontId="0" fillId="0" borderId="2" xfId="0" applyNumberForma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1" fontId="0" fillId="2" borderId="1" xfId="0" applyNumberFormat="1" applyFill="1" applyBorder="1"/>
    <xf numFmtId="0" fontId="0" fillId="5" borderId="1" xfId="0" applyFill="1" applyBorder="1"/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vertical="center"/>
    </xf>
    <xf numFmtId="11" fontId="0" fillId="0" borderId="1" xfId="0" applyNumberFormat="1" applyBorder="1"/>
    <xf numFmtId="0" fontId="1" fillId="0" borderId="1" xfId="0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0" fillId="2" borderId="1" xfId="0" applyNumberFormat="1" applyFill="1" applyBorder="1"/>
    <xf numFmtId="165" fontId="0" fillId="2" borderId="1" xfId="0" applyNumberFormat="1" applyFill="1" applyBorder="1"/>
    <xf numFmtId="165" fontId="9" fillId="2" borderId="3" xfId="0" applyNumberFormat="1" applyFont="1" applyFill="1" applyBorder="1" applyAlignment="1">
      <alignment horizontal="center" vertical="center"/>
    </xf>
    <xf numFmtId="166" fontId="0" fillId="0" borderId="2" xfId="0" applyNumberFormat="1" applyBorder="1"/>
    <xf numFmtId="167" fontId="0" fillId="0" borderId="2" xfId="0" applyNumberFormat="1" applyBorder="1"/>
    <xf numFmtId="0" fontId="1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0" fontId="1" fillId="5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70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62"/>
  <sheetViews>
    <sheetView tabSelected="1" topLeftCell="A2" zoomScaleNormal="100" workbookViewId="0">
      <selection activeCell="A39" sqref="A39:B39"/>
    </sheetView>
  </sheetViews>
  <sheetFormatPr baseColWidth="10" defaultRowHeight="15" x14ac:dyDescent="0.25"/>
  <cols>
    <col min="1" max="1" width="16.28515625" bestFit="1" customWidth="1"/>
    <col min="2" max="2" width="13.28515625" customWidth="1"/>
    <col min="3" max="3" width="16.28515625" bestFit="1" customWidth="1"/>
    <col min="4" max="4" width="15.140625" customWidth="1"/>
    <col min="6" max="14" width="11.42578125" customWidth="1"/>
  </cols>
  <sheetData>
    <row r="1" spans="1:14" ht="21" customHeight="1" x14ac:dyDescent="0.25">
      <c r="A1" s="40" t="s">
        <v>0</v>
      </c>
      <c r="B1" s="40"/>
      <c r="C1" s="40"/>
      <c r="D1" s="40"/>
      <c r="F1" s="22" t="s">
        <v>70</v>
      </c>
      <c r="G1" s="30" t="s">
        <v>71</v>
      </c>
      <c r="H1" s="30"/>
      <c r="I1" s="30"/>
      <c r="J1" s="30"/>
      <c r="K1" s="30"/>
    </row>
    <row r="2" spans="1:14" x14ac:dyDescent="0.25">
      <c r="A2" s="1" t="s">
        <v>1</v>
      </c>
      <c r="B2" s="43" t="s">
        <v>2</v>
      </c>
      <c r="C2" s="43"/>
      <c r="D2" s="43"/>
    </row>
    <row r="3" spans="1:14" x14ac:dyDescent="0.25">
      <c r="A3" s="44" t="s">
        <v>3</v>
      </c>
      <c r="B3" s="44"/>
      <c r="C3" s="44"/>
      <c r="D3" s="44"/>
    </row>
    <row r="4" spans="1:14" x14ac:dyDescent="0.25">
      <c r="A4" s="3" t="s">
        <v>4</v>
      </c>
      <c r="B4" s="4">
        <v>7.9166600000000007E-3</v>
      </c>
      <c r="C4" s="3" t="s">
        <v>9</v>
      </c>
      <c r="D4" s="4">
        <v>0</v>
      </c>
      <c r="G4" s="31" t="s">
        <v>69</v>
      </c>
      <c r="H4" s="31"/>
      <c r="I4" s="31"/>
      <c r="J4" s="31"/>
      <c r="K4" s="31"/>
    </row>
    <row r="5" spans="1:14" ht="15.75" thickBot="1" x14ac:dyDescent="0.3">
      <c r="A5" s="3" t="s">
        <v>5</v>
      </c>
      <c r="B5" s="4">
        <v>0</v>
      </c>
      <c r="C5" s="3" t="s">
        <v>10</v>
      </c>
      <c r="D5" s="4">
        <v>0</v>
      </c>
    </row>
    <row r="6" spans="1:14" ht="15.75" thickBot="1" x14ac:dyDescent="0.3">
      <c r="A6" s="3" t="s">
        <v>6</v>
      </c>
      <c r="B6" s="4">
        <v>0</v>
      </c>
      <c r="C6" s="41" t="s">
        <v>11</v>
      </c>
      <c r="D6" s="41"/>
      <c r="F6" s="13" t="s">
        <v>27</v>
      </c>
      <c r="G6" s="13" t="s">
        <v>29</v>
      </c>
      <c r="H6" s="13" t="s">
        <v>30</v>
      </c>
      <c r="I6" s="13" t="s">
        <v>31</v>
      </c>
      <c r="J6" s="13" t="s">
        <v>32</v>
      </c>
      <c r="K6" s="13" t="s">
        <v>33</v>
      </c>
      <c r="L6" s="13" t="s">
        <v>34</v>
      </c>
      <c r="M6" s="13" t="s">
        <v>35</v>
      </c>
      <c r="N6" s="14" t="s">
        <v>28</v>
      </c>
    </row>
    <row r="7" spans="1:14" x14ac:dyDescent="0.25">
      <c r="A7" s="3" t="s">
        <v>7</v>
      </c>
      <c r="B7" s="4">
        <v>0</v>
      </c>
      <c r="C7" s="5" t="s">
        <v>12</v>
      </c>
      <c r="D7" s="6">
        <f>+B7^2/19.62</f>
        <v>0</v>
      </c>
      <c r="F7" s="12">
        <f>+B20</f>
        <v>218404.50195491145</v>
      </c>
      <c r="G7" s="11">
        <f>+B16</f>
        <v>3.5881435257410294E-4</v>
      </c>
      <c r="H7" s="11">
        <f>+G7/3.7</f>
        <v>9.6976852047054847E-5</v>
      </c>
      <c r="I7" s="11">
        <f>+F7^0.9</f>
        <v>63875.663976563228</v>
      </c>
      <c r="J7" s="11">
        <f>5.74/I7</f>
        <v>8.9862079588027101E-5</v>
      </c>
      <c r="K7" s="11">
        <f>+H7+J7</f>
        <v>1.8683893163508195E-4</v>
      </c>
      <c r="L7" s="11">
        <f>+LOG10(K7)</f>
        <v>-3.7285326247192749</v>
      </c>
      <c r="M7" s="11">
        <f>+L7^2</f>
        <v>13.901955533596006</v>
      </c>
      <c r="N7" s="11">
        <f>0.25/M7</f>
        <v>1.7983081545314996E-2</v>
      </c>
    </row>
    <row r="8" spans="1:14" x14ac:dyDescent="0.25">
      <c r="A8" s="3" t="s">
        <v>8</v>
      </c>
      <c r="B8" s="4">
        <v>0.61299999999999999</v>
      </c>
      <c r="C8" s="5" t="s">
        <v>13</v>
      </c>
      <c r="D8" s="6">
        <f>+B8^2/19.62</f>
        <v>1.9152344546381241E-2</v>
      </c>
      <c r="F8" s="12">
        <f>+D20</f>
        <v>10493.29059131575</v>
      </c>
      <c r="G8" s="11">
        <f>+D16</f>
        <v>5.5147058823529407E-3</v>
      </c>
      <c r="H8" s="11">
        <f>+G8/3.7</f>
        <v>1.4904610492845786E-3</v>
      </c>
      <c r="I8" s="11">
        <f>+F8^0.9</f>
        <v>4157.3877301960529</v>
      </c>
      <c r="J8" s="11">
        <f>5.74/I8</f>
        <v>1.3806746862480674E-3</v>
      </c>
      <c r="K8" s="11">
        <f>+H8+J8</f>
        <v>2.871135735532646E-3</v>
      </c>
      <c r="L8" s="11">
        <f>+LOG10(K8)</f>
        <v>-2.5419462753546376</v>
      </c>
      <c r="M8" s="11">
        <f>+L8^2</f>
        <v>6.4614908667893154</v>
      </c>
      <c r="N8" s="11">
        <f>0.25/M8</f>
        <v>3.8690761180975537E-2</v>
      </c>
    </row>
    <row r="9" spans="1:14" x14ac:dyDescent="0.25">
      <c r="A9" s="44" t="s">
        <v>14</v>
      </c>
      <c r="B9" s="44"/>
      <c r="C9" s="44"/>
      <c r="D9" s="44"/>
    </row>
    <row r="10" spans="1:14" x14ac:dyDescent="0.25">
      <c r="A10" s="7" t="s">
        <v>15</v>
      </c>
      <c r="B10" s="4">
        <v>9530</v>
      </c>
      <c r="C10" s="7" t="s">
        <v>16</v>
      </c>
      <c r="D10" s="15">
        <v>3.5999999999999999E-7</v>
      </c>
    </row>
    <row r="11" spans="1:14" x14ac:dyDescent="0.25">
      <c r="A11" s="42" t="s">
        <v>17</v>
      </c>
      <c r="B11" s="42"/>
      <c r="C11" s="42" t="s">
        <v>18</v>
      </c>
      <c r="D11" s="42"/>
      <c r="F11" s="46" t="s">
        <v>67</v>
      </c>
      <c r="G11" s="46"/>
    </row>
    <row r="12" spans="1:14" x14ac:dyDescent="0.25">
      <c r="A12" s="3" t="s">
        <v>19</v>
      </c>
      <c r="B12" s="4">
        <v>0.12820000000000001</v>
      </c>
      <c r="C12" s="3" t="s">
        <v>19</v>
      </c>
      <c r="D12" s="4">
        <v>0.27200000000000002</v>
      </c>
      <c r="F12" s="47">
        <v>0.77</v>
      </c>
      <c r="G12" s="47"/>
    </row>
    <row r="13" spans="1:14" x14ac:dyDescent="0.25">
      <c r="A13" s="8" t="s">
        <v>20</v>
      </c>
      <c r="B13" s="15">
        <v>4.6E-5</v>
      </c>
      <c r="C13" s="8" t="s">
        <v>20</v>
      </c>
      <c r="D13" s="15">
        <v>1.5E-3</v>
      </c>
      <c r="F13" s="47"/>
      <c r="G13" s="47"/>
    </row>
    <row r="14" spans="1:14" x14ac:dyDescent="0.25">
      <c r="A14" s="3" t="s">
        <v>21</v>
      </c>
      <c r="B14" s="4">
        <v>1.5</v>
      </c>
      <c r="C14" s="3" t="s">
        <v>21</v>
      </c>
      <c r="D14" s="4">
        <v>80</v>
      </c>
    </row>
    <row r="15" spans="1:14" x14ac:dyDescent="0.25">
      <c r="A15" s="5" t="s">
        <v>22</v>
      </c>
      <c r="B15" s="6">
        <f>+(PI()*B12^2)/4</f>
        <v>1.290820731099628E-2</v>
      </c>
      <c r="C15" s="5" t="s">
        <v>22</v>
      </c>
      <c r="D15" s="6">
        <f>+(PI()*D12^2)/4</f>
        <v>5.8106897720796823E-2</v>
      </c>
    </row>
    <row r="16" spans="1:14" x14ac:dyDescent="0.25">
      <c r="A16" s="5" t="s">
        <v>36</v>
      </c>
      <c r="B16" s="6">
        <f>+B13/B12</f>
        <v>3.5881435257410294E-4</v>
      </c>
      <c r="C16" s="5" t="s">
        <v>26</v>
      </c>
      <c r="D16" s="10">
        <f>+D13/D12</f>
        <v>5.5147058823529407E-3</v>
      </c>
    </row>
    <row r="17" spans="1:4" x14ac:dyDescent="0.25">
      <c r="A17" s="5" t="s">
        <v>23</v>
      </c>
      <c r="B17" s="6">
        <f>+B14/B12</f>
        <v>11.700468018720748</v>
      </c>
      <c r="C17" s="5" t="s">
        <v>23</v>
      </c>
      <c r="D17" s="6">
        <f>+D14/D12</f>
        <v>294.11764705882354</v>
      </c>
    </row>
    <row r="18" spans="1:4" x14ac:dyDescent="0.25">
      <c r="A18" s="5" t="s">
        <v>24</v>
      </c>
      <c r="B18" s="6">
        <f>+B4/B15</f>
        <v>0.61330437366433788</v>
      </c>
      <c r="C18" s="5" t="s">
        <v>24</v>
      </c>
      <c r="D18" s="6">
        <f>+B4/D15</f>
        <v>0.13624303328048054</v>
      </c>
    </row>
    <row r="19" spans="1:4" x14ac:dyDescent="0.25">
      <c r="A19" s="5" t="s">
        <v>25</v>
      </c>
      <c r="B19" s="6">
        <f>+B18^2/19.62</f>
        <v>1.917136874392486E-2</v>
      </c>
      <c r="C19" s="5" t="s">
        <v>25</v>
      </c>
      <c r="D19" s="6">
        <f>+D18^2/19.62</f>
        <v>9.4608379803599028E-4</v>
      </c>
    </row>
    <row r="20" spans="1:4" x14ac:dyDescent="0.25">
      <c r="A20" s="5" t="s">
        <v>27</v>
      </c>
      <c r="B20" s="59">
        <f>+B18*B12/(D10)</f>
        <v>218404.50195491145</v>
      </c>
      <c r="C20" s="5" t="s">
        <v>27</v>
      </c>
      <c r="D20" s="20">
        <f>+D12*D18/(9.81*D10)</f>
        <v>10493.29059131575</v>
      </c>
    </row>
    <row r="21" spans="1:4" x14ac:dyDescent="0.25">
      <c r="A21" s="5" t="s">
        <v>28</v>
      </c>
      <c r="B21" s="6">
        <f>+N7</f>
        <v>1.7983081545314996E-2</v>
      </c>
      <c r="C21" s="5" t="s">
        <v>28</v>
      </c>
      <c r="D21" s="6">
        <f>+N8</f>
        <v>3.8690761180975537E-2</v>
      </c>
    </row>
    <row r="22" spans="1:4" x14ac:dyDescent="0.25">
      <c r="A22" s="42" t="s">
        <v>37</v>
      </c>
      <c r="B22" s="42"/>
      <c r="C22" s="42" t="s">
        <v>38</v>
      </c>
      <c r="D22" s="42"/>
    </row>
    <row r="23" spans="1:4" x14ac:dyDescent="0.25">
      <c r="A23" s="2" t="s">
        <v>39</v>
      </c>
      <c r="B23">
        <f>+B21*B17*B19</f>
        <v>4.0338567175191558E-3</v>
      </c>
      <c r="C23" s="2"/>
      <c r="D23" s="9"/>
    </row>
    <row r="24" spans="1:4" x14ac:dyDescent="0.25">
      <c r="A24" s="39" t="s">
        <v>43</v>
      </c>
      <c r="B24" s="39"/>
      <c r="C24" s="39"/>
      <c r="D24" s="39"/>
    </row>
    <row r="25" spans="1:4" x14ac:dyDescent="0.25">
      <c r="A25" s="36" t="s">
        <v>40</v>
      </c>
      <c r="B25" s="16" t="s">
        <v>47</v>
      </c>
      <c r="C25" s="49"/>
      <c r="D25" s="50"/>
    </row>
    <row r="26" spans="1:4" s="9" customFormat="1" x14ac:dyDescent="0.25">
      <c r="A26" s="37"/>
      <c r="B26" s="10">
        <f>IF(B25="SI","+B27",0)</f>
        <v>0</v>
      </c>
      <c r="C26" s="51"/>
      <c r="D26" s="52"/>
    </row>
    <row r="27" spans="1:4" s="9" customFormat="1" x14ac:dyDescent="0.25">
      <c r="A27" s="38"/>
      <c r="B27" s="10">
        <f>1*B19</f>
        <v>1.917136874392486E-2</v>
      </c>
      <c r="C27" s="51"/>
      <c r="D27" s="52"/>
    </row>
    <row r="28" spans="1:4" x14ac:dyDescent="0.25">
      <c r="A28" s="36" t="s">
        <v>41</v>
      </c>
      <c r="B28" s="16" t="s">
        <v>46</v>
      </c>
      <c r="C28" s="51"/>
      <c r="D28" s="52"/>
    </row>
    <row r="29" spans="1:4" s="9" customFormat="1" x14ac:dyDescent="0.25">
      <c r="A29" s="37"/>
      <c r="B29" s="10" t="str">
        <f>IF(B28="SI","+B29",0)</f>
        <v>+B29</v>
      </c>
      <c r="C29" s="51"/>
      <c r="D29" s="52"/>
    </row>
    <row r="30" spans="1:4" s="9" customFormat="1" x14ac:dyDescent="0.25">
      <c r="A30" s="38"/>
      <c r="B30" s="10">
        <f>0.5*B19</f>
        <v>9.5856843719624302E-3</v>
      </c>
      <c r="C30" s="51"/>
      <c r="D30" s="52"/>
    </row>
    <row r="31" spans="1:4" s="9" customFormat="1" x14ac:dyDescent="0.25">
      <c r="A31" s="36" t="s">
        <v>44</v>
      </c>
      <c r="B31" s="16" t="s">
        <v>47</v>
      </c>
      <c r="C31" s="51"/>
      <c r="D31" s="52"/>
    </row>
    <row r="32" spans="1:4" s="9" customFormat="1" x14ac:dyDescent="0.25">
      <c r="A32" s="37"/>
      <c r="B32" s="10">
        <f>0.25*B19</f>
        <v>4.7928421859812151E-3</v>
      </c>
      <c r="C32" s="51"/>
      <c r="D32" s="52"/>
    </row>
    <row r="33" spans="1:4" s="9" customFormat="1" x14ac:dyDescent="0.25">
      <c r="A33" s="38"/>
      <c r="B33" s="10">
        <f>IF(B31="SI","+B32",0)</f>
        <v>0</v>
      </c>
      <c r="C33" s="51"/>
      <c r="D33" s="52"/>
    </row>
    <row r="34" spans="1:4" x14ac:dyDescent="0.25">
      <c r="A34" s="36" t="s">
        <v>42</v>
      </c>
      <c r="B34" s="16" t="s">
        <v>47</v>
      </c>
      <c r="C34" s="51"/>
      <c r="D34" s="52"/>
    </row>
    <row r="35" spans="1:4" x14ac:dyDescent="0.25">
      <c r="A35" s="37"/>
      <c r="B35" s="10">
        <f>IF(B36="SI","+B32",0)</f>
        <v>0</v>
      </c>
      <c r="C35" s="51"/>
      <c r="D35" s="52"/>
    </row>
    <row r="36" spans="1:4" ht="15" customHeight="1" x14ac:dyDescent="0.25">
      <c r="A36" s="38"/>
      <c r="B36" s="10">
        <f>0.04*B19</f>
        <v>7.6685474975699442E-4</v>
      </c>
      <c r="C36" s="53"/>
      <c r="D36" s="54"/>
    </row>
    <row r="37" spans="1:4" x14ac:dyDescent="0.25">
      <c r="A37" s="18" t="s">
        <v>51</v>
      </c>
      <c r="B37" s="10" t="b">
        <f>IF(B26=0,IF(B29=0,IF(B32=0,"",B36)))</f>
        <v>0</v>
      </c>
      <c r="C37" s="55"/>
      <c r="D37" s="56"/>
    </row>
    <row r="38" spans="1:4" s="9" customFormat="1" x14ac:dyDescent="0.25">
      <c r="A38" s="17" t="s">
        <v>54</v>
      </c>
      <c r="B38" s="19">
        <v>1.6E-2</v>
      </c>
      <c r="C38" s="17"/>
      <c r="D38" s="19"/>
    </row>
    <row r="39" spans="1:4" x14ac:dyDescent="0.25">
      <c r="A39" s="39" t="s">
        <v>48</v>
      </c>
      <c r="B39" s="39"/>
      <c r="C39" s="39"/>
      <c r="D39" s="39"/>
    </row>
    <row r="40" spans="1:4" x14ac:dyDescent="0.25">
      <c r="A40" s="17" t="s">
        <v>49</v>
      </c>
      <c r="B40" s="16">
        <v>2</v>
      </c>
      <c r="C40" s="17"/>
      <c r="D40" s="16"/>
    </row>
    <row r="41" spans="1:4" x14ac:dyDescent="0.25">
      <c r="A41" s="17" t="s">
        <v>55</v>
      </c>
      <c r="B41" s="10">
        <v>30</v>
      </c>
      <c r="C41" s="17"/>
      <c r="D41" s="10"/>
    </row>
    <row r="42" spans="1:4" s="9" customFormat="1" x14ac:dyDescent="0.25">
      <c r="A42" s="17" t="s">
        <v>50</v>
      </c>
      <c r="B42" s="10"/>
      <c r="C42" s="17"/>
      <c r="D42" s="10"/>
    </row>
    <row r="43" spans="1:4" x14ac:dyDescent="0.25">
      <c r="A43" s="39" t="s">
        <v>57</v>
      </c>
      <c r="B43" s="39"/>
      <c r="C43" s="39"/>
      <c r="D43" s="39"/>
    </row>
    <row r="44" spans="1:4" x14ac:dyDescent="0.25">
      <c r="A44" s="17" t="s">
        <v>56</v>
      </c>
      <c r="B44" s="16"/>
      <c r="C44" s="17"/>
      <c r="D44" s="16"/>
    </row>
    <row r="45" spans="1:4" x14ac:dyDescent="0.25">
      <c r="A45" s="17" t="s">
        <v>55</v>
      </c>
      <c r="B45" s="10">
        <v>8</v>
      </c>
      <c r="C45" s="17"/>
      <c r="D45" s="10"/>
    </row>
    <row r="46" spans="1:4" x14ac:dyDescent="0.25">
      <c r="A46" s="17" t="s">
        <v>50</v>
      </c>
      <c r="B46" s="10"/>
      <c r="C46" s="17"/>
      <c r="D46" s="10"/>
    </row>
    <row r="47" spans="1:4" x14ac:dyDescent="0.25">
      <c r="A47" s="39" t="s">
        <v>58</v>
      </c>
      <c r="B47" s="39"/>
      <c r="C47" s="39"/>
      <c r="D47" s="39"/>
    </row>
    <row r="48" spans="1:4" x14ac:dyDescent="0.25">
      <c r="A48" s="17" t="s">
        <v>56</v>
      </c>
      <c r="B48" s="16" t="s">
        <v>60</v>
      </c>
      <c r="C48" s="17"/>
      <c r="D48" s="16"/>
    </row>
    <row r="49" spans="1:4" x14ac:dyDescent="0.25">
      <c r="A49" s="17" t="s">
        <v>55</v>
      </c>
      <c r="B49" s="10">
        <v>150</v>
      </c>
      <c r="C49" s="17"/>
      <c r="D49" s="10"/>
    </row>
    <row r="50" spans="1:4" x14ac:dyDescent="0.25">
      <c r="A50" s="17" t="s">
        <v>50</v>
      </c>
      <c r="B50" s="10">
        <f>+B38*B49*B19</f>
        <v>4.6011284985419662E-2</v>
      </c>
      <c r="C50" s="17"/>
      <c r="D50" s="10"/>
    </row>
    <row r="51" spans="1:4" x14ac:dyDescent="0.25">
      <c r="A51" s="39" t="s">
        <v>61</v>
      </c>
      <c r="B51" s="39"/>
      <c r="C51" s="39"/>
      <c r="D51" s="39"/>
    </row>
    <row r="52" spans="1:4" x14ac:dyDescent="0.25">
      <c r="A52" s="17" t="s">
        <v>62</v>
      </c>
      <c r="B52" s="16"/>
      <c r="C52" s="17"/>
      <c r="D52" s="16"/>
    </row>
    <row r="53" spans="1:4" x14ac:dyDescent="0.25">
      <c r="A53" s="17" t="s">
        <v>45</v>
      </c>
      <c r="B53" s="10">
        <v>0.09</v>
      </c>
      <c r="C53" s="17"/>
      <c r="D53" s="10"/>
    </row>
    <row r="54" spans="1:4" x14ac:dyDescent="0.25">
      <c r="A54" s="17" t="s">
        <v>50</v>
      </c>
      <c r="B54" s="10"/>
      <c r="C54" s="17"/>
      <c r="D54" s="10"/>
    </row>
    <row r="55" spans="1:4" x14ac:dyDescent="0.25">
      <c r="A55" s="32" t="s">
        <v>64</v>
      </c>
      <c r="B55" s="33"/>
      <c r="C55" s="33"/>
      <c r="D55" s="34"/>
    </row>
    <row r="56" spans="1:4" x14ac:dyDescent="0.25">
      <c r="A56" s="58">
        <f>+B54+D54+D50+B50+B46+D46+D42+B42+B37+C37+B23+D23</f>
        <v>5.004514170293882E-2</v>
      </c>
      <c r="B56" s="58"/>
      <c r="C56" s="58"/>
      <c r="D56" s="58"/>
    </row>
    <row r="57" spans="1:4" x14ac:dyDescent="0.25">
      <c r="A57" s="32" t="s">
        <v>65</v>
      </c>
      <c r="B57" s="33"/>
      <c r="C57" s="33"/>
      <c r="D57" s="34"/>
    </row>
    <row r="58" spans="1:4" x14ac:dyDescent="0.25">
      <c r="A58" s="48">
        <f>+(A56)+(D5-D4)+(D7-D8)+((B6-B5)/B10)</f>
        <v>3.0892797156557579E-2</v>
      </c>
      <c r="B58" s="48"/>
      <c r="C58" s="48"/>
      <c r="D58" s="48"/>
    </row>
    <row r="59" spans="1:4" x14ac:dyDescent="0.25">
      <c r="A59" s="32" t="s">
        <v>66</v>
      </c>
      <c r="B59" s="33"/>
      <c r="C59" s="33"/>
      <c r="D59" s="34"/>
    </row>
    <row r="60" spans="1:4" ht="15.75" x14ac:dyDescent="0.25">
      <c r="A60" s="35">
        <f>A58*B4*B10/1000</f>
        <v>2.3307308627517377E-3</v>
      </c>
      <c r="B60" s="35"/>
      <c r="C60" s="35"/>
      <c r="D60" s="35"/>
    </row>
    <row r="61" spans="1:4" x14ac:dyDescent="0.25">
      <c r="A61" s="32" t="s">
        <v>68</v>
      </c>
      <c r="B61" s="33"/>
      <c r="C61" s="33"/>
      <c r="D61" s="34"/>
    </row>
    <row r="62" spans="1:4" ht="18.75" x14ac:dyDescent="0.25">
      <c r="A62" s="45">
        <f>A60/F12</f>
        <v>3.0269231983788801E-3</v>
      </c>
      <c r="B62" s="45"/>
      <c r="C62" s="45"/>
      <c r="D62" s="45"/>
    </row>
  </sheetData>
  <mergeCells count="37">
    <mergeCell ref="A22:B22"/>
    <mergeCell ref="C22:D22"/>
    <mergeCell ref="A24:B24"/>
    <mergeCell ref="C24:D24"/>
    <mergeCell ref="A25:A27"/>
    <mergeCell ref="A62:D62"/>
    <mergeCell ref="F11:G11"/>
    <mergeCell ref="F12:G13"/>
    <mergeCell ref="A51:B51"/>
    <mergeCell ref="C51:D51"/>
    <mergeCell ref="A55:D55"/>
    <mergeCell ref="A56:D56"/>
    <mergeCell ref="A57:D57"/>
    <mergeCell ref="A58:D58"/>
    <mergeCell ref="C25:D36"/>
    <mergeCell ref="C37:D37"/>
    <mergeCell ref="A43:B43"/>
    <mergeCell ref="C43:D43"/>
    <mergeCell ref="A47:B47"/>
    <mergeCell ref="C47:D47"/>
    <mergeCell ref="A31:A33"/>
    <mergeCell ref="G1:K1"/>
    <mergeCell ref="G4:K4"/>
    <mergeCell ref="A59:D59"/>
    <mergeCell ref="A60:D60"/>
    <mergeCell ref="A61:D61"/>
    <mergeCell ref="A34:A36"/>
    <mergeCell ref="A39:B39"/>
    <mergeCell ref="C39:D39"/>
    <mergeCell ref="A28:A30"/>
    <mergeCell ref="A1:D1"/>
    <mergeCell ref="C6:D6"/>
    <mergeCell ref="A11:B11"/>
    <mergeCell ref="C11:D11"/>
    <mergeCell ref="B2:D2"/>
    <mergeCell ref="A3:D3"/>
    <mergeCell ref="A9:D9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6"/>
  <sheetViews>
    <sheetView workbookViewId="0">
      <selection sqref="A1:D1"/>
    </sheetView>
  </sheetViews>
  <sheetFormatPr baseColWidth="10" defaultRowHeight="15" x14ac:dyDescent="0.25"/>
  <cols>
    <col min="1" max="1" width="16.28515625" style="9" bestFit="1" customWidth="1"/>
    <col min="2" max="2" width="13.28515625" style="9" customWidth="1"/>
    <col min="3" max="3" width="16.28515625" style="9" bestFit="1" customWidth="1"/>
    <col min="4" max="4" width="15.140625" style="9" customWidth="1"/>
    <col min="5" max="5" width="3.140625" customWidth="1"/>
    <col min="6" max="6" width="2.42578125" style="9" customWidth="1"/>
    <col min="7" max="10" width="11.42578125" style="9" customWidth="1"/>
    <col min="11" max="11" width="13.7109375" style="9" bestFit="1" customWidth="1"/>
    <col min="12" max="15" width="11.42578125" style="9" customWidth="1"/>
    <col min="16" max="16384" width="11.42578125" style="9"/>
  </cols>
  <sheetData>
    <row r="1" spans="1:15" ht="21" customHeight="1" x14ac:dyDescent="0.25">
      <c r="A1" s="40" t="s">
        <v>0</v>
      </c>
      <c r="B1" s="40"/>
      <c r="C1" s="40"/>
      <c r="D1" s="40"/>
      <c r="G1" s="23" t="s">
        <v>70</v>
      </c>
      <c r="H1" s="30" t="s">
        <v>72</v>
      </c>
      <c r="I1" s="30"/>
      <c r="J1" s="30"/>
      <c r="K1" s="30"/>
      <c r="L1" s="30"/>
      <c r="M1" s="30"/>
      <c r="N1" s="30"/>
      <c r="O1" s="30"/>
    </row>
    <row r="2" spans="1:15" x14ac:dyDescent="0.25">
      <c r="A2" s="1" t="s">
        <v>1</v>
      </c>
      <c r="B2" s="43" t="s">
        <v>2</v>
      </c>
      <c r="C2" s="43"/>
      <c r="D2" s="43"/>
    </row>
    <row r="3" spans="1:15" x14ac:dyDescent="0.25">
      <c r="A3" s="44" t="s">
        <v>3</v>
      </c>
      <c r="B3" s="44"/>
      <c r="C3" s="44"/>
      <c r="D3" s="44"/>
    </row>
    <row r="4" spans="1:15" x14ac:dyDescent="0.25">
      <c r="A4" s="3" t="s">
        <v>4</v>
      </c>
      <c r="B4" s="4">
        <v>0.01</v>
      </c>
      <c r="C4" s="3" t="s">
        <v>9</v>
      </c>
      <c r="D4" s="26">
        <f>+(D8-D7)+((B6-B5)/(B10/1000))+A56</f>
        <v>16.315881943655874</v>
      </c>
      <c r="H4" s="31" t="s">
        <v>69</v>
      </c>
      <c r="I4" s="31"/>
      <c r="J4" s="31"/>
      <c r="K4" s="31"/>
      <c r="L4" s="31"/>
    </row>
    <row r="5" spans="1:15" ht="15.75" thickBot="1" x14ac:dyDescent="0.3">
      <c r="A5" s="3" t="s">
        <v>5</v>
      </c>
      <c r="B5" s="4">
        <v>0</v>
      </c>
      <c r="C5" s="3" t="s">
        <v>10</v>
      </c>
      <c r="D5" s="25">
        <v>0</v>
      </c>
    </row>
    <row r="6" spans="1:15" ht="15.75" thickBot="1" x14ac:dyDescent="0.3">
      <c r="A6" s="3" t="s">
        <v>6</v>
      </c>
      <c r="B6" s="4">
        <v>10</v>
      </c>
      <c r="C6" s="41" t="s">
        <v>11</v>
      </c>
      <c r="D6" s="41"/>
      <c r="G6" s="13" t="s">
        <v>27</v>
      </c>
      <c r="H6" s="13" t="s">
        <v>29</v>
      </c>
      <c r="I6" s="13" t="s">
        <v>30</v>
      </c>
      <c r="J6" s="13" t="s">
        <v>31</v>
      </c>
      <c r="K6" s="13" t="s">
        <v>32</v>
      </c>
      <c r="L6" s="13" t="s">
        <v>33</v>
      </c>
      <c r="M6" s="13" t="s">
        <v>34</v>
      </c>
      <c r="N6" s="13" t="s">
        <v>35</v>
      </c>
      <c r="O6" s="14" t="s">
        <v>28</v>
      </c>
    </row>
    <row r="7" spans="1:15" x14ac:dyDescent="0.25">
      <c r="A7" s="3" t="s">
        <v>7</v>
      </c>
      <c r="B7" s="4">
        <v>0</v>
      </c>
      <c r="C7" s="5" t="s">
        <v>12</v>
      </c>
      <c r="D7" s="10">
        <f>+B7^2/19.62</f>
        <v>0</v>
      </c>
      <c r="G7" s="12">
        <f>+B20</f>
        <v>14031.347436263746</v>
      </c>
      <c r="H7" s="11">
        <f>+B16</f>
        <v>1.6216216216216217E-2</v>
      </c>
      <c r="I7" s="11">
        <f>+H7/3.7</f>
        <v>4.3827611395178961E-3</v>
      </c>
      <c r="J7" s="11">
        <f>+G7^0.9</f>
        <v>5399.9462960114251</v>
      </c>
      <c r="K7" s="11">
        <f>5.74/J7</f>
        <v>1.0629735344293608E-3</v>
      </c>
      <c r="L7" s="11">
        <f>+I7+K7</f>
        <v>5.4457346739472572E-3</v>
      </c>
      <c r="M7" s="11">
        <f>+LOG10(L7)</f>
        <v>-2.263943522094046</v>
      </c>
      <c r="N7" s="11">
        <f>+M7^2</f>
        <v>5.1254402712315947</v>
      </c>
      <c r="O7" s="11">
        <f>0.25/N7</f>
        <v>4.8776297599879621E-2</v>
      </c>
    </row>
    <row r="8" spans="1:15" x14ac:dyDescent="0.25">
      <c r="A8" s="3" t="s">
        <v>8</v>
      </c>
      <c r="B8" s="4">
        <v>5</v>
      </c>
      <c r="C8" s="5" t="s">
        <v>13</v>
      </c>
      <c r="D8" s="10">
        <f>+B8^2/19.62</f>
        <v>1.2742099898063199</v>
      </c>
      <c r="G8" s="12">
        <f>+D20</f>
        <v>22690.553109342593</v>
      </c>
      <c r="H8" s="11">
        <f>+D16</f>
        <v>2.6223776223776224E-2</v>
      </c>
      <c r="I8" s="11">
        <f>+H8/3.7</f>
        <v>7.0875070875070873E-3</v>
      </c>
      <c r="J8" s="11">
        <f>+G8^0.9</f>
        <v>8322.6297437098165</v>
      </c>
      <c r="K8" s="11">
        <f>5.74/J8</f>
        <v>6.896858537216859E-4</v>
      </c>
      <c r="L8" s="11">
        <f>+I8+K8</f>
        <v>7.7771929412287734E-3</v>
      </c>
      <c r="M8" s="11">
        <f>+LOG10(L8)</f>
        <v>-2.109177126675378</v>
      </c>
      <c r="N8" s="11">
        <f>+M8^2</f>
        <v>4.4486281516906034</v>
      </c>
      <c r="O8" s="11">
        <f>0.25/N8</f>
        <v>5.6197099751974774E-2</v>
      </c>
    </row>
    <row r="9" spans="1:15" x14ac:dyDescent="0.25">
      <c r="A9" s="44" t="s">
        <v>14</v>
      </c>
      <c r="B9" s="44"/>
      <c r="C9" s="44"/>
      <c r="D9" s="44"/>
    </row>
    <row r="10" spans="1:15" x14ac:dyDescent="0.25">
      <c r="A10" s="7" t="s">
        <v>15</v>
      </c>
      <c r="B10" s="4">
        <v>9800</v>
      </c>
      <c r="C10" s="7" t="s">
        <v>16</v>
      </c>
      <c r="D10" s="15">
        <v>9.9999999999999995E-7</v>
      </c>
    </row>
    <row r="11" spans="1:15" x14ac:dyDescent="0.25">
      <c r="A11" s="42" t="s">
        <v>17</v>
      </c>
      <c r="B11" s="42"/>
      <c r="C11" s="42" t="s">
        <v>18</v>
      </c>
      <c r="D11" s="42"/>
    </row>
    <row r="12" spans="1:15" x14ac:dyDescent="0.25">
      <c r="A12" s="3" t="s">
        <v>19</v>
      </c>
      <c r="B12" s="4">
        <v>9.2499999999999999E-2</v>
      </c>
      <c r="C12" s="3" t="s">
        <v>19</v>
      </c>
      <c r="D12" s="4">
        <v>5.7200000000000001E-2</v>
      </c>
    </row>
    <row r="13" spans="1:15" x14ac:dyDescent="0.25">
      <c r="A13" s="8" t="s">
        <v>20</v>
      </c>
      <c r="B13" s="15">
        <v>1.5E-3</v>
      </c>
      <c r="C13" s="8" t="s">
        <v>20</v>
      </c>
      <c r="D13" s="15">
        <v>1.5E-3</v>
      </c>
    </row>
    <row r="14" spans="1:15" x14ac:dyDescent="0.25">
      <c r="A14" s="3" t="s">
        <v>21</v>
      </c>
      <c r="B14" s="4">
        <v>10</v>
      </c>
      <c r="C14" s="3" t="s">
        <v>21</v>
      </c>
      <c r="D14" s="4">
        <v>15</v>
      </c>
    </row>
    <row r="15" spans="1:15" ht="18" x14ac:dyDescent="0.25">
      <c r="A15" s="5" t="s">
        <v>22</v>
      </c>
      <c r="B15" s="10">
        <f>+(PI()*B12^2)/4</f>
        <v>6.7200630355694164E-3</v>
      </c>
      <c r="C15" s="5" t="s">
        <v>22</v>
      </c>
      <c r="D15" s="10">
        <f>+(PI()*D12^2)/4</f>
        <v>2.5696971269303075E-3</v>
      </c>
      <c r="I15" s="24" t="s">
        <v>73</v>
      </c>
      <c r="J15" s="57" t="s">
        <v>74</v>
      </c>
      <c r="K15" s="57"/>
      <c r="L15" s="57"/>
    </row>
    <row r="16" spans="1:15" x14ac:dyDescent="0.25">
      <c r="A16" s="5" t="s">
        <v>36</v>
      </c>
      <c r="B16" s="10">
        <f>+B13/B12</f>
        <v>1.6216216216216217E-2</v>
      </c>
      <c r="C16" s="5" t="s">
        <v>26</v>
      </c>
      <c r="D16" s="10">
        <f>+D13/D12</f>
        <v>2.6223776223776224E-2</v>
      </c>
    </row>
    <row r="17" spans="1:13" ht="18.75" thickBot="1" x14ac:dyDescent="0.3">
      <c r="A17" s="5" t="s">
        <v>23</v>
      </c>
      <c r="B17" s="10">
        <f>+B14/B12</f>
        <v>108.10810810810811</v>
      </c>
      <c r="C17" s="5" t="s">
        <v>23</v>
      </c>
      <c r="D17" s="10">
        <f>+D14/D12</f>
        <v>262.23776223776224</v>
      </c>
      <c r="J17" s="24" t="s">
        <v>75</v>
      </c>
      <c r="K17" s="23">
        <v>0</v>
      </c>
    </row>
    <row r="18" spans="1:13" ht="16.5" thickBot="1" x14ac:dyDescent="0.3">
      <c r="A18" s="5" t="s">
        <v>24</v>
      </c>
      <c r="B18" s="10">
        <f>+B4/B15</f>
        <v>1.488081279456728</v>
      </c>
      <c r="C18" s="5" t="s">
        <v>24</v>
      </c>
      <c r="D18" s="10">
        <f>+B4/D15</f>
        <v>3.8915091958505386</v>
      </c>
      <c r="J18" s="1" t="s">
        <v>77</v>
      </c>
      <c r="K18" s="9" t="s">
        <v>78</v>
      </c>
      <c r="L18" s="27">
        <f>+D4</f>
        <v>16.315881943655874</v>
      </c>
      <c r="M18" s="1" t="s">
        <v>79</v>
      </c>
    </row>
    <row r="19" spans="1:13" x14ac:dyDescent="0.25">
      <c r="A19" s="5" t="s">
        <v>25</v>
      </c>
      <c r="B19" s="10">
        <f>+B18^2/19.62</f>
        <v>0.11286370511057964</v>
      </c>
      <c r="C19" s="5" t="s">
        <v>25</v>
      </c>
      <c r="D19" s="10">
        <f>+D18^2/19.62</f>
        <v>0.77185748325123882</v>
      </c>
    </row>
    <row r="20" spans="1:13" x14ac:dyDescent="0.25">
      <c r="A20" s="5" t="s">
        <v>27</v>
      </c>
      <c r="B20" s="20">
        <f>+B18*B12/(9.81*D10)</f>
        <v>14031.347436263746</v>
      </c>
      <c r="C20" s="5" t="s">
        <v>27</v>
      </c>
      <c r="D20" s="20">
        <f>+D12*D18/(9.81*D10)</f>
        <v>22690.553109342593</v>
      </c>
    </row>
    <row r="21" spans="1:13" x14ac:dyDescent="0.25">
      <c r="A21" s="5" t="s">
        <v>28</v>
      </c>
      <c r="B21" s="10">
        <f>+O7</f>
        <v>4.8776297599879621E-2</v>
      </c>
      <c r="C21" s="5" t="s">
        <v>28</v>
      </c>
      <c r="D21" s="10">
        <f>+O8</f>
        <v>5.6197099751974774E-2</v>
      </c>
    </row>
    <row r="22" spans="1:13" x14ac:dyDescent="0.25">
      <c r="A22" s="42" t="s">
        <v>37</v>
      </c>
      <c r="B22" s="42"/>
      <c r="C22" s="42" t="s">
        <v>38</v>
      </c>
      <c r="D22" s="42"/>
    </row>
    <row r="23" spans="1:13" x14ac:dyDescent="0.25">
      <c r="A23" s="2" t="s">
        <v>39</v>
      </c>
      <c r="B23" s="9">
        <f>+B21*B17*B19</f>
        <v>0.59514309931877696</v>
      </c>
      <c r="C23" s="2" t="s">
        <v>39</v>
      </c>
      <c r="D23" s="9">
        <f>+D21*D17*D19</f>
        <v>11.374865029871872</v>
      </c>
    </row>
    <row r="24" spans="1:13" x14ac:dyDescent="0.25">
      <c r="A24" s="39" t="s">
        <v>43</v>
      </c>
      <c r="B24" s="39"/>
      <c r="C24" s="39" t="s">
        <v>52</v>
      </c>
      <c r="D24" s="39"/>
    </row>
    <row r="25" spans="1:13" x14ac:dyDescent="0.25">
      <c r="A25" s="36" t="s">
        <v>40</v>
      </c>
      <c r="B25" s="16" t="s">
        <v>76</v>
      </c>
      <c r="C25" s="49" t="s">
        <v>53</v>
      </c>
      <c r="D25" s="50"/>
    </row>
    <row r="26" spans="1:13" x14ac:dyDescent="0.25">
      <c r="A26" s="37"/>
      <c r="B26" s="10" t="str">
        <f>IF(B25="SI","+B27",0)</f>
        <v>+B27</v>
      </c>
      <c r="C26" s="51"/>
      <c r="D26" s="52"/>
    </row>
    <row r="27" spans="1:13" x14ac:dyDescent="0.25">
      <c r="A27" s="38"/>
      <c r="B27" s="10">
        <f>1*B19</f>
        <v>0.11286370511057964</v>
      </c>
      <c r="C27" s="51"/>
      <c r="D27" s="52"/>
    </row>
    <row r="28" spans="1:13" x14ac:dyDescent="0.25">
      <c r="A28" s="36" t="s">
        <v>41</v>
      </c>
      <c r="B28" s="16" t="s">
        <v>47</v>
      </c>
      <c r="C28" s="51"/>
      <c r="D28" s="52"/>
    </row>
    <row r="29" spans="1:13" x14ac:dyDescent="0.25">
      <c r="A29" s="37"/>
      <c r="B29" s="10">
        <f>IF(B28="SI","+B29",0)</f>
        <v>0</v>
      </c>
      <c r="C29" s="51"/>
      <c r="D29" s="52"/>
    </row>
    <row r="30" spans="1:13" x14ac:dyDescent="0.25">
      <c r="A30" s="38"/>
      <c r="B30" s="10">
        <f>0.5*B19</f>
        <v>5.6431852555289819E-2</v>
      </c>
      <c r="C30" s="51"/>
      <c r="D30" s="52"/>
    </row>
    <row r="31" spans="1:13" x14ac:dyDescent="0.25">
      <c r="A31" s="36" t="s">
        <v>44</v>
      </c>
      <c r="B31" s="16" t="s">
        <v>46</v>
      </c>
      <c r="C31" s="51"/>
      <c r="D31" s="52"/>
    </row>
    <row r="32" spans="1:13" x14ac:dyDescent="0.25">
      <c r="A32" s="37"/>
      <c r="B32" s="10">
        <f>0.25*B19</f>
        <v>2.8215926277644909E-2</v>
      </c>
      <c r="C32" s="51"/>
      <c r="D32" s="52"/>
    </row>
    <row r="33" spans="1:4" x14ac:dyDescent="0.25">
      <c r="A33" s="38"/>
      <c r="B33" s="10" t="str">
        <f>IF(B31="SI","+B32",0)</f>
        <v>+B32</v>
      </c>
      <c r="C33" s="51"/>
      <c r="D33" s="52"/>
    </row>
    <row r="34" spans="1:4" x14ac:dyDescent="0.25">
      <c r="A34" s="36" t="s">
        <v>42</v>
      </c>
      <c r="B34" s="16" t="s">
        <v>47</v>
      </c>
      <c r="C34" s="51"/>
      <c r="D34" s="52"/>
    </row>
    <row r="35" spans="1:4" x14ac:dyDescent="0.25">
      <c r="A35" s="37"/>
      <c r="B35" s="10">
        <f>IF(B36="SI","+B32",0)</f>
        <v>0</v>
      </c>
      <c r="C35" s="51"/>
      <c r="D35" s="52"/>
    </row>
    <row r="36" spans="1:4" x14ac:dyDescent="0.25">
      <c r="A36" s="38"/>
      <c r="B36" s="10">
        <f>0.04*B19</f>
        <v>4.514548204423186E-3</v>
      </c>
      <c r="C36" s="53"/>
      <c r="D36" s="54"/>
    </row>
    <row r="37" spans="1:4" x14ac:dyDescent="0.25">
      <c r="A37" s="21" t="s">
        <v>51</v>
      </c>
      <c r="B37" s="10" t="b">
        <f>IF(B26=0,IF(B29=0,IF(B32=0,"",B36)))</f>
        <v>0</v>
      </c>
      <c r="C37" s="55">
        <f>1*D19</f>
        <v>0.77185748325123882</v>
      </c>
      <c r="D37" s="56"/>
    </row>
    <row r="38" spans="1:4" x14ac:dyDescent="0.25">
      <c r="A38" s="17" t="s">
        <v>54</v>
      </c>
      <c r="B38" s="19">
        <v>1.2999999999999999E-2</v>
      </c>
      <c r="C38" s="17" t="s">
        <v>54</v>
      </c>
      <c r="D38" s="19">
        <v>1.4999999999999999E-2</v>
      </c>
    </row>
    <row r="39" spans="1:4" x14ac:dyDescent="0.25">
      <c r="A39" s="39" t="s">
        <v>48</v>
      </c>
      <c r="B39" s="39"/>
      <c r="C39" s="39" t="s">
        <v>48</v>
      </c>
      <c r="D39" s="39"/>
    </row>
    <row r="40" spans="1:4" x14ac:dyDescent="0.25">
      <c r="A40" s="17" t="s">
        <v>49</v>
      </c>
      <c r="B40" s="16">
        <v>2</v>
      </c>
      <c r="C40" s="17" t="s">
        <v>49</v>
      </c>
      <c r="D40" s="16">
        <v>2</v>
      </c>
    </row>
    <row r="41" spans="1:4" x14ac:dyDescent="0.25">
      <c r="A41" s="17" t="s">
        <v>55</v>
      </c>
      <c r="B41" s="10">
        <v>30</v>
      </c>
      <c r="C41" s="17" t="s">
        <v>55</v>
      </c>
      <c r="D41" s="10">
        <v>30</v>
      </c>
    </row>
    <row r="42" spans="1:4" x14ac:dyDescent="0.25">
      <c r="A42" s="17" t="s">
        <v>50</v>
      </c>
      <c r="B42" s="10">
        <f>+B40*B41*B19*B38</f>
        <v>8.803368998625212E-2</v>
      </c>
      <c r="C42" s="17" t="s">
        <v>50</v>
      </c>
      <c r="D42" s="10">
        <f>+D40*D41*D19*D38</f>
        <v>0.69467173492611489</v>
      </c>
    </row>
    <row r="43" spans="1:4" x14ac:dyDescent="0.25">
      <c r="A43" s="39" t="s">
        <v>57</v>
      </c>
      <c r="B43" s="39"/>
      <c r="C43" s="39" t="s">
        <v>57</v>
      </c>
      <c r="D43" s="39"/>
    </row>
    <row r="44" spans="1:4" x14ac:dyDescent="0.25">
      <c r="A44" s="17" t="s">
        <v>56</v>
      </c>
      <c r="B44" s="16" t="s">
        <v>59</v>
      </c>
      <c r="C44" s="17" t="s">
        <v>56</v>
      </c>
      <c r="D44" s="16"/>
    </row>
    <row r="45" spans="1:4" x14ac:dyDescent="0.25">
      <c r="A45" s="17" t="s">
        <v>55</v>
      </c>
      <c r="B45" s="10">
        <v>8</v>
      </c>
      <c r="C45" s="17" t="s">
        <v>55</v>
      </c>
      <c r="D45" s="10">
        <v>8</v>
      </c>
    </row>
    <row r="46" spans="1:4" x14ac:dyDescent="0.25">
      <c r="A46" s="17" t="s">
        <v>50</v>
      </c>
      <c r="B46" s="10">
        <f>+B38*B45*B19</f>
        <v>1.1737825331500282E-2</v>
      </c>
      <c r="C46" s="17" t="s">
        <v>50</v>
      </c>
      <c r="D46" s="10">
        <f>+D38*D45*D19</f>
        <v>9.2622897990148653E-2</v>
      </c>
    </row>
    <row r="47" spans="1:4" x14ac:dyDescent="0.25">
      <c r="A47" s="39" t="s">
        <v>58</v>
      </c>
      <c r="B47" s="39"/>
      <c r="C47" s="39" t="s">
        <v>58</v>
      </c>
      <c r="D47" s="39"/>
    </row>
    <row r="48" spans="1:4" x14ac:dyDescent="0.25">
      <c r="A48" s="17" t="s">
        <v>56</v>
      </c>
      <c r="B48" s="16" t="s">
        <v>60</v>
      </c>
      <c r="C48" s="17" t="s">
        <v>56</v>
      </c>
      <c r="D48" s="16"/>
    </row>
    <row r="49" spans="1:4" x14ac:dyDescent="0.25">
      <c r="A49" s="17" t="s">
        <v>55</v>
      </c>
      <c r="B49" s="10">
        <v>150</v>
      </c>
      <c r="C49" s="17" t="s">
        <v>55</v>
      </c>
      <c r="D49" s="10">
        <v>8</v>
      </c>
    </row>
    <row r="50" spans="1:4" x14ac:dyDescent="0.25">
      <c r="A50" s="17" t="s">
        <v>50</v>
      </c>
      <c r="B50" s="10">
        <f>+B38*B49*B19</f>
        <v>0.22008422496563029</v>
      </c>
      <c r="C50" s="17" t="s">
        <v>50</v>
      </c>
      <c r="D50" s="10">
        <f>+D38*D49*D19</f>
        <v>9.2622897990148653E-2</v>
      </c>
    </row>
    <row r="51" spans="1:4" x14ac:dyDescent="0.25">
      <c r="A51" s="39" t="s">
        <v>61</v>
      </c>
      <c r="B51" s="39"/>
      <c r="C51" s="39" t="s">
        <v>61</v>
      </c>
      <c r="D51" s="39"/>
    </row>
    <row r="52" spans="1:4" x14ac:dyDescent="0.25">
      <c r="A52" s="17" t="s">
        <v>62</v>
      </c>
      <c r="B52" s="16" t="s">
        <v>63</v>
      </c>
      <c r="C52" s="17" t="s">
        <v>62</v>
      </c>
      <c r="D52" s="16"/>
    </row>
    <row r="53" spans="1:4" x14ac:dyDescent="0.25">
      <c r="A53" s="17" t="s">
        <v>45</v>
      </c>
      <c r="B53" s="10">
        <v>0.09</v>
      </c>
      <c r="C53" s="17" t="s">
        <v>45</v>
      </c>
      <c r="D53" s="10">
        <v>0.09</v>
      </c>
    </row>
    <row r="54" spans="1:4" x14ac:dyDescent="0.25">
      <c r="A54" s="17" t="s">
        <v>50</v>
      </c>
      <c r="B54" s="10">
        <f>+B53*B19</f>
        <v>1.0157733459952167E-2</v>
      </c>
      <c r="C54" s="17" t="s">
        <v>50</v>
      </c>
      <c r="D54" s="10">
        <f>+D53*D19</f>
        <v>6.9467173492611486E-2</v>
      </c>
    </row>
    <row r="55" spans="1:4" x14ac:dyDescent="0.25">
      <c r="A55" s="32" t="s">
        <v>64</v>
      </c>
      <c r="B55" s="33"/>
      <c r="C55" s="33"/>
      <c r="D55" s="34"/>
    </row>
    <row r="56" spans="1:4" x14ac:dyDescent="0.25">
      <c r="A56" s="48">
        <f>+B54+D54+D50+B50+B46+D46+D42+B42+B37+C37+B23+D23</f>
        <v>14.021263790584246</v>
      </c>
      <c r="B56" s="48"/>
      <c r="C56" s="48"/>
      <c r="D56" s="48"/>
    </row>
  </sheetData>
  <mergeCells count="30">
    <mergeCell ref="C22:D22"/>
    <mergeCell ref="A1:D1"/>
    <mergeCell ref="B2:D2"/>
    <mergeCell ref="A3:D3"/>
    <mergeCell ref="H4:L4"/>
    <mergeCell ref="C6:D6"/>
    <mergeCell ref="H1:O1"/>
    <mergeCell ref="J15:L15"/>
    <mergeCell ref="A9:D9"/>
    <mergeCell ref="A11:B11"/>
    <mergeCell ref="C11:D11"/>
    <mergeCell ref="A22:B22"/>
    <mergeCell ref="A56:D56"/>
    <mergeCell ref="C37:D37"/>
    <mergeCell ref="A39:B39"/>
    <mergeCell ref="C39:D39"/>
    <mergeCell ref="A43:B43"/>
    <mergeCell ref="C43:D43"/>
    <mergeCell ref="A47:B47"/>
    <mergeCell ref="C47:D47"/>
    <mergeCell ref="A51:B51"/>
    <mergeCell ref="C51:D51"/>
    <mergeCell ref="A55:D55"/>
    <mergeCell ref="A24:B24"/>
    <mergeCell ref="C24:D24"/>
    <mergeCell ref="A25:A27"/>
    <mergeCell ref="C25:D36"/>
    <mergeCell ref="A28:A30"/>
    <mergeCell ref="A31:A33"/>
    <mergeCell ref="A34:A36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B5" sqref="B5"/>
    </sheetView>
  </sheetViews>
  <sheetFormatPr baseColWidth="10" defaultRowHeight="15" x14ac:dyDescent="0.25"/>
  <cols>
    <col min="1" max="1" width="14.5703125" bestFit="1" customWidth="1"/>
    <col min="5" max="5" width="12" bestFit="1" customWidth="1"/>
  </cols>
  <sheetData>
    <row r="1" spans="1:9" x14ac:dyDescent="0.25">
      <c r="A1" s="9"/>
      <c r="B1" s="31" t="s">
        <v>69</v>
      </c>
      <c r="C1" s="31"/>
      <c r="D1" s="31"/>
      <c r="E1" s="31"/>
      <c r="F1" s="31"/>
      <c r="G1" s="9"/>
      <c r="H1" s="9"/>
      <c r="I1" s="9"/>
    </row>
    <row r="2" spans="1:9" ht="15.75" thickBot="1" x14ac:dyDescent="0.3">
      <c r="A2" s="9"/>
      <c r="B2" s="9"/>
      <c r="C2" s="9"/>
      <c r="D2" s="9"/>
      <c r="E2" s="9"/>
      <c r="F2" s="9"/>
      <c r="G2" s="9"/>
      <c r="H2" s="9"/>
      <c r="I2" s="9"/>
    </row>
    <row r="3" spans="1:9" ht="15.75" thickBot="1" x14ac:dyDescent="0.3">
      <c r="A3" s="13" t="s">
        <v>27</v>
      </c>
      <c r="B3" s="13" t="s">
        <v>29</v>
      </c>
      <c r="C3" s="13" t="s">
        <v>30</v>
      </c>
      <c r="D3" s="13" t="s">
        <v>31</v>
      </c>
      <c r="E3" s="13" t="s">
        <v>32</v>
      </c>
      <c r="F3" s="13" t="s">
        <v>33</v>
      </c>
      <c r="G3" s="13" t="s">
        <v>34</v>
      </c>
      <c r="H3" s="13" t="s">
        <v>35</v>
      </c>
      <c r="I3" s="14" t="s">
        <v>28</v>
      </c>
    </row>
    <row r="4" spans="1:9" x14ac:dyDescent="0.25">
      <c r="A4" s="29">
        <v>50523.519999999997</v>
      </c>
      <c r="B4" s="28">
        <v>1.1199999999999999E-3</v>
      </c>
      <c r="C4" s="11">
        <f>+B4/3.7</f>
        <v>3.0270270270270268E-4</v>
      </c>
      <c r="D4" s="11">
        <f>+A4^0.9</f>
        <v>17105.833496672574</v>
      </c>
      <c r="E4" s="11">
        <f>5.74/D4</f>
        <v>3.3555804229688921E-4</v>
      </c>
      <c r="F4" s="11">
        <f>+C4+E4</f>
        <v>6.3826074499959183E-4</v>
      </c>
      <c r="G4" s="11">
        <f>+LOG10(F4)</f>
        <v>-3.1950018651962528</v>
      </c>
      <c r="H4" s="11">
        <f>+G4^2</f>
        <v>10.208036918607535</v>
      </c>
      <c r="I4" s="11">
        <f>0.25/H4</f>
        <v>2.4490507038066451E-2</v>
      </c>
    </row>
    <row r="5" spans="1:9" x14ac:dyDescent="0.25">
      <c r="A5" s="12">
        <v>300450.40000000002</v>
      </c>
      <c r="B5" s="28">
        <v>8.9700000000000001E-4</v>
      </c>
      <c r="C5" s="11">
        <f>+B5/3.7</f>
        <v>2.4243243243243242E-4</v>
      </c>
      <c r="D5" s="11">
        <f>+A5^0.9</f>
        <v>85112.923452469084</v>
      </c>
      <c r="E5" s="11">
        <f>5.74/D5</f>
        <v>6.7439817211841819E-5</v>
      </c>
      <c r="F5" s="11">
        <f>+C5+E5</f>
        <v>3.0987224964427421E-4</v>
      </c>
      <c r="G5" s="11">
        <f>+LOG10(F5)</f>
        <v>-3.5088173149062225</v>
      </c>
      <c r="H5" s="11">
        <f>+G5^2</f>
        <v>12.311798949385713</v>
      </c>
      <c r="I5" s="11">
        <f>0.25/H5</f>
        <v>2.0305724697727748E-2</v>
      </c>
    </row>
    <row r="6" spans="1:9" x14ac:dyDescent="0.25">
      <c r="A6">
        <f>0.0083/0.05067</f>
        <v>0.16380501282810342</v>
      </c>
    </row>
    <row r="7" spans="1:9" x14ac:dyDescent="0.25">
      <c r="A7">
        <v>0.254</v>
      </c>
    </row>
    <row r="8" spans="1:9" x14ac:dyDescent="0.25">
      <c r="A8">
        <f>+A6*A7/0.000000548</f>
        <v>75924.221274339914</v>
      </c>
    </row>
    <row r="9" spans="1:9" x14ac:dyDescent="0.25">
      <c r="A9">
        <f>500/60000</f>
        <v>8.3333333333333332E-3</v>
      </c>
    </row>
    <row r="10" spans="1:9" x14ac:dyDescent="0.25">
      <c r="A10">
        <f>16*0.0254</f>
        <v>0.40639999999999998</v>
      </c>
    </row>
    <row r="11" spans="1:9" x14ac:dyDescent="0.25">
      <c r="A11">
        <f>3.1416*A10*A10/4</f>
        <v>0.12971741798399999</v>
      </c>
      <c r="B11">
        <f>+A9/A11</f>
        <v>6.4242207891936368E-2</v>
      </c>
    </row>
    <row r="13" spans="1:9" x14ac:dyDescent="0.25">
      <c r="B13" t="s">
        <v>80</v>
      </c>
      <c r="C13" t="s">
        <v>81</v>
      </c>
      <c r="D13" t="s">
        <v>45</v>
      </c>
    </row>
    <row r="14" spans="1:9" x14ac:dyDescent="0.25">
      <c r="C14">
        <v>150</v>
      </c>
      <c r="D14">
        <f>+B14*C14</f>
        <v>0</v>
      </c>
    </row>
  </sheetData>
  <mergeCells count="1"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 Intern Potencia</vt:lpstr>
      <vt:lpstr>sist Intern ALTURA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juansan</cp:lastModifiedBy>
  <dcterms:created xsi:type="dcterms:W3CDTF">2012-05-13T20:22:18Z</dcterms:created>
  <dcterms:modified xsi:type="dcterms:W3CDTF">2013-07-02T21:22:00Z</dcterms:modified>
</cp:coreProperties>
</file>